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HN.GoogleDrive\My Drive\97. Personal\01. Personal\Personal Web\Blog.05.Corporate valuation in Practices\"/>
    </mc:Choice>
  </mc:AlternateContent>
  <xr:revisionPtr revIDLastSave="0" documentId="13_ncr:1_{38B4A563-0E37-4E8E-95EB-4EB7B09900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Valuation" sheetId="8" r:id="rId1"/>
    <sheet name="Forecast" sheetId="2" r:id="rId2"/>
  </sheets>
  <definedNames>
    <definedName name="_xlnm.Print_Area" localSheetId="1">Forecast!$A$1:$K$61</definedName>
    <definedName name="_xlnm.Print_Area" localSheetId="0">Valuation!$A$1:$P$78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3" i="8" l="1"/>
  <c r="W12" i="8"/>
  <c r="T14" i="8"/>
  <c r="W11" i="8"/>
  <c r="W10" i="8"/>
  <c r="W9" i="8"/>
  <c r="W8" i="8"/>
  <c r="W7" i="8"/>
  <c r="E31" i="8"/>
  <c r="E32" i="8"/>
  <c r="E33" i="8" l="1"/>
  <c r="W14" i="8"/>
  <c r="S16" i="8" s="1"/>
  <c r="N33" i="8"/>
  <c r="N34" i="8" s="1"/>
  <c r="N24" i="8"/>
  <c r="F13" i="2" l="1"/>
  <c r="G16" i="2" l="1"/>
  <c r="H16" i="2" s="1"/>
  <c r="I16" i="2" s="1"/>
  <c r="G13" i="2"/>
  <c r="H13" i="2" l="1"/>
  <c r="I13" i="2" l="1"/>
  <c r="B7" i="8" l="1"/>
  <c r="H15" i="8" l="1"/>
  <c r="E15" i="8"/>
  <c r="G15" i="8"/>
  <c r="I15" i="8"/>
  <c r="F15" i="8"/>
  <c r="N14" i="8" l="1"/>
  <c r="E22" i="2"/>
  <c r="E19" i="2"/>
  <c r="E26" i="2" s="1"/>
  <c r="E28" i="2" s="1"/>
  <c r="N15" i="8" l="1"/>
  <c r="N17" i="8" s="1"/>
  <c r="P14" i="8"/>
  <c r="P15" i="8" s="1"/>
  <c r="I22" i="2"/>
  <c r="F22" i="2"/>
  <c r="H22" i="2"/>
  <c r="E30" i="2"/>
  <c r="E10" i="8" s="1"/>
  <c r="E14" i="8" s="1"/>
  <c r="E16" i="8" s="1"/>
  <c r="E32" i="2"/>
  <c r="N8" i="8" s="1"/>
  <c r="P8" i="8" l="1"/>
  <c r="P9" i="8" s="1"/>
  <c r="P11" i="8" s="1"/>
  <c r="N9" i="8"/>
  <c r="N11" i="8" s="1"/>
  <c r="H19" i="2"/>
  <c r="F19" i="2"/>
  <c r="F26" i="2" s="1"/>
  <c r="F28" i="2" s="1"/>
  <c r="I19" i="2"/>
  <c r="I26" i="2" s="1"/>
  <c r="I28" i="2" s="1"/>
  <c r="P17" i="8"/>
  <c r="H26" i="2"/>
  <c r="H28" i="2" s="1"/>
  <c r="F30" i="2" l="1"/>
  <c r="F10" i="8" s="1"/>
  <c r="F14" i="8" s="1"/>
  <c r="F16" i="8" s="1"/>
  <c r="F32" i="2"/>
  <c r="G22" i="2"/>
  <c r="G19" i="2"/>
  <c r="G26" i="2" s="1"/>
  <c r="G28" i="2" s="1"/>
  <c r="H30" i="2"/>
  <c r="H10" i="8" s="1"/>
  <c r="H14" i="8" s="1"/>
  <c r="H16" i="8" s="1"/>
  <c r="H32" i="2"/>
  <c r="I30" i="2"/>
  <c r="I10" i="8" s="1"/>
  <c r="I12" i="8" s="1"/>
  <c r="I14" i="8" s="1"/>
  <c r="I16" i="8" s="1"/>
  <c r="I32" i="2"/>
  <c r="G30" i="2" l="1"/>
  <c r="G10" i="8" s="1"/>
  <c r="G14" i="8" s="1"/>
  <c r="G16" i="8" s="1"/>
  <c r="B18" i="8" s="1"/>
  <c r="B24" i="8" s="1"/>
  <c r="G32" i="2"/>
</calcChain>
</file>

<file path=xl/sharedStrings.xml><?xml version="1.0" encoding="utf-8"?>
<sst xmlns="http://schemas.openxmlformats.org/spreadsheetml/2006/main" count="88" uniqueCount="78">
  <si>
    <t>TOTAL REVENUE</t>
  </si>
  <si>
    <t>OPERATING COST</t>
  </si>
  <si>
    <t>COGS</t>
  </si>
  <si>
    <t>Depreciation (in VNDm)</t>
  </si>
  <si>
    <t>OPERATING PROFIT</t>
  </si>
  <si>
    <t>Note</t>
  </si>
  <si>
    <t>NET CF</t>
  </si>
  <si>
    <t>Operating CF</t>
  </si>
  <si>
    <t>WACC</t>
  </si>
  <si>
    <t>Stable growth rate</t>
  </si>
  <si>
    <t>Redisual value</t>
  </si>
  <si>
    <t>Total CF</t>
  </si>
  <si>
    <t>Discounted rate</t>
  </si>
  <si>
    <t>Discounted CF</t>
  </si>
  <si>
    <t>Working capital change</t>
  </si>
  <si>
    <t>ASSET-BASED MODEL</t>
  </si>
  <si>
    <t>Capital structure</t>
  </si>
  <si>
    <t>Debt</t>
  </si>
  <si>
    <t>Equity</t>
  </si>
  <si>
    <t>Cost</t>
  </si>
  <si>
    <t>No significance</t>
  </si>
  <si>
    <t xml:space="preserve"> Long-term growht of GDP = 4%</t>
  </si>
  <si>
    <t>Enterprise value (USDK)</t>
  </si>
  <si>
    <t xml:space="preserve">Low </t>
  </si>
  <si>
    <t>High</t>
  </si>
  <si>
    <t>EBITDA multiple</t>
  </si>
  <si>
    <t>Revenue multiple</t>
  </si>
  <si>
    <t>TOTAL</t>
  </si>
  <si>
    <t>Total staff cost (in USDk)</t>
  </si>
  <si>
    <t>EBITDA</t>
  </si>
  <si>
    <t>Enterprise value (USDk)</t>
  </si>
  <si>
    <t>Investment cost for opening 2 new sites</t>
  </si>
  <si>
    <t>Discount of removal of synergy</t>
  </si>
  <si>
    <t>EV after discount</t>
  </si>
  <si>
    <t>Estimated useful life</t>
  </si>
  <si>
    <t>NBV</t>
  </si>
  <si>
    <t>D/E = 5/5. Kd=10%, Ke=15%</t>
  </si>
  <si>
    <t>NET BOOK VALUE</t>
  </si>
  <si>
    <t>Weighted</t>
  </si>
  <si>
    <t xml:space="preserve"> - Timing: </t>
  </si>
  <si>
    <t xml:space="preserve"> - Effective % share</t>
  </si>
  <si>
    <t xml:space="preserve"> - Price</t>
  </si>
  <si>
    <t>73.6 mill</t>
  </si>
  <si>
    <t xml:space="preserve"> - EV (100%) </t>
  </si>
  <si>
    <t xml:space="preserve"> - Number of site at purchase date</t>
  </si>
  <si>
    <t xml:space="preserve"> - Price in mil USD (estimated)</t>
  </si>
  <si>
    <t>COMPARABLE TRANSACTIONS</t>
  </si>
  <si>
    <t xml:space="preserve"> MARKET APPROACH</t>
  </si>
  <si>
    <t>100 mill</t>
  </si>
  <si>
    <t>INCOME APPROACH (DCF)</t>
  </si>
  <si>
    <t>CASH FLOW MODEL</t>
  </si>
  <si>
    <t>Staff cost</t>
  </si>
  <si>
    <t>Rental (in USDk)</t>
  </si>
  <si>
    <t>Selling expenses (% of revenue)</t>
  </si>
  <si>
    <t>Selling expense (in USDk)</t>
  </si>
  <si>
    <t>G&amp;A (% of revenue)</t>
  </si>
  <si>
    <t>G&amp;A (in USDk)</t>
  </si>
  <si>
    <t>TAX paid @ 20%</t>
  </si>
  <si>
    <t>Site 1</t>
  </si>
  <si>
    <t>Site 2</t>
  </si>
  <si>
    <t>Site 3</t>
  </si>
  <si>
    <t>Site 4</t>
  </si>
  <si>
    <t>Site 5</t>
  </si>
  <si>
    <t>Site 6</t>
  </si>
  <si>
    <t>Site 7</t>
  </si>
  <si>
    <t>Remain useful life (years)</t>
  </si>
  <si>
    <t>WORKING - WACC calculation</t>
  </si>
  <si>
    <t>Value of Debt (USDk)</t>
  </si>
  <si>
    <t>Equity value (USDk)</t>
  </si>
  <si>
    <t>Cash (USDk)</t>
  </si>
  <si>
    <t>ASSET APPROACH</t>
  </si>
  <si>
    <t>1. A Company acquired B company</t>
  </si>
  <si>
    <t xml:space="preserve"> - Total number of site of B Company</t>
  </si>
  <si>
    <t>2. C Company acquired D Company</t>
  </si>
  <si>
    <t>Estimated investment cost (USDk)</t>
  </si>
  <si>
    <t>Revenue</t>
  </si>
  <si>
    <t>MULTIPLE MODEL</t>
  </si>
  <si>
    <t>ABC company - Forecast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</si>
</sst>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_-* #,##0_-;\-* #,##0_-;_-* &quot;-&quot;??_-;_-@_-"/>
    <numFmt numFmtId="166" formatCode="_-* #,##0.0_-;\-* #,##0.0_-;_-* &quot;-&quot;??_-;_-@_-"/>
    <numFmt numFmtId="167" formatCode="0.0%"/>
    <numFmt numFmtId="168" formatCode="_(* #,##0_);_(* \(#,##0\);_(* &quot;-&quot;??_);_(@_)"/>
    <numFmt numFmtId="169" formatCode="_(* #,##0.000_);_(* \(#,##0.000\);_(* &quot;-&quot;??_);_(@_)"/>
  </numFmts>
  <fonts count="22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10"/>
      <color theme="7" tint="-0.499984740745262"/>
      <name val="Montserrat"/>
      <scheme val="minor"/>
    </font>
    <font>
      <sz val="10"/>
      <color theme="1"/>
      <name val="Montserrat"/>
      <scheme val="minor"/>
    </font>
    <font>
      <b/>
      <sz val="16"/>
      <color theme="4"/>
      <name val="Montserrat"/>
      <scheme val="minor"/>
    </font>
    <font>
      <sz val="10"/>
      <name val="Montserrat"/>
      <scheme val="minor"/>
    </font>
    <font>
      <b/>
      <sz val="16"/>
      <color theme="6" tint="-0.249977111117893"/>
      <name val="Montserrat"/>
      <scheme val="minor"/>
    </font>
    <font>
      <b/>
      <sz val="16"/>
      <color theme="5"/>
      <name val="Montserrat"/>
      <scheme val="minor"/>
    </font>
    <font>
      <b/>
      <sz val="12"/>
      <color theme="4"/>
      <name val="Montserrat"/>
      <scheme val="minor"/>
    </font>
    <font>
      <b/>
      <sz val="12"/>
      <color theme="6" tint="-0.249977111117893"/>
      <name val="Montserrat"/>
      <scheme val="minor"/>
    </font>
    <font>
      <b/>
      <sz val="12"/>
      <color theme="5"/>
      <name val="Montserrat"/>
      <scheme val="minor"/>
    </font>
    <font>
      <sz val="10"/>
      <color theme="4"/>
      <name val="Montserrat"/>
      <scheme val="minor"/>
    </font>
    <font>
      <b/>
      <sz val="10"/>
      <color theme="3"/>
      <name val="Montserrat"/>
      <scheme val="minor"/>
    </font>
    <font>
      <b/>
      <sz val="10"/>
      <color theme="1"/>
      <name val="Montserrat"/>
      <scheme val="minor"/>
    </font>
    <font>
      <i/>
      <sz val="10"/>
      <color theme="1"/>
      <name val="Montserrat"/>
      <scheme val="minor"/>
    </font>
    <font>
      <b/>
      <sz val="10"/>
      <color theme="2"/>
      <name val="Montserrat"/>
      <scheme val="minor"/>
    </font>
    <font>
      <b/>
      <sz val="10"/>
      <color rgb="FFFF0000"/>
      <name val="Montserrat"/>
      <scheme val="minor"/>
    </font>
    <font>
      <b/>
      <sz val="10"/>
      <color theme="6" tint="-0.249977111117893"/>
      <name val="Montserrat"/>
      <scheme val="minor"/>
    </font>
    <font>
      <b/>
      <sz val="10"/>
      <color theme="0"/>
      <name val="Montserrat"/>
      <scheme val="minor"/>
    </font>
    <font>
      <sz val="10"/>
      <color theme="0"/>
      <name val="Montserrat"/>
      <scheme val="minor"/>
    </font>
    <font>
      <b/>
      <sz val="14"/>
      <color theme="4"/>
      <name val="Montserrat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4.9989318521683403E-2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theme="5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/>
      <bottom/>
      <diagonal/>
    </border>
    <border>
      <left/>
      <right style="medium">
        <color theme="4"/>
      </right>
      <top/>
      <bottom/>
      <diagonal/>
    </border>
    <border>
      <left style="medium">
        <color theme="4"/>
      </left>
      <right/>
      <top/>
      <bottom style="medium">
        <color theme="4"/>
      </bottom>
      <diagonal/>
    </border>
    <border>
      <left/>
      <right style="medium">
        <color theme="4"/>
      </right>
      <top/>
      <bottom style="medium">
        <color theme="4"/>
      </bottom>
      <diagonal/>
    </border>
    <border>
      <left style="medium">
        <color theme="6"/>
      </left>
      <right/>
      <top style="medium">
        <color theme="6"/>
      </top>
      <bottom/>
      <diagonal/>
    </border>
    <border>
      <left/>
      <right/>
      <top style="medium">
        <color theme="6"/>
      </top>
      <bottom/>
      <diagonal/>
    </border>
    <border>
      <left/>
      <right style="medium">
        <color theme="6"/>
      </right>
      <top style="medium">
        <color theme="6"/>
      </top>
      <bottom/>
      <diagonal/>
    </border>
    <border>
      <left style="medium">
        <color theme="6"/>
      </left>
      <right/>
      <top/>
      <bottom/>
      <diagonal/>
    </border>
    <border>
      <left/>
      <right style="medium">
        <color theme="6"/>
      </right>
      <top/>
      <bottom/>
      <diagonal/>
    </border>
    <border>
      <left style="medium">
        <color theme="6"/>
      </left>
      <right/>
      <top/>
      <bottom style="medium">
        <color theme="6"/>
      </bottom>
      <diagonal/>
    </border>
    <border>
      <left/>
      <right/>
      <top/>
      <bottom style="medium">
        <color theme="6"/>
      </bottom>
      <diagonal/>
    </border>
    <border>
      <left/>
      <right style="medium">
        <color theme="6"/>
      </right>
      <top/>
      <bottom style="medium">
        <color theme="6"/>
      </bottom>
      <diagonal/>
    </border>
    <border>
      <left/>
      <right/>
      <top/>
      <bottom style="thin">
        <color theme="1"/>
      </bottom>
      <diagonal/>
    </border>
    <border>
      <left style="medium">
        <color theme="5"/>
      </left>
      <right/>
      <top/>
      <bottom/>
      <diagonal/>
    </border>
    <border>
      <left/>
      <right style="medium">
        <color theme="5"/>
      </right>
      <top/>
      <bottom/>
      <diagonal/>
    </border>
    <border>
      <left style="medium">
        <color theme="5"/>
      </left>
      <right/>
      <top/>
      <bottom style="medium">
        <color theme="5"/>
      </bottom>
      <diagonal/>
    </border>
    <border>
      <left/>
      <right style="medium">
        <color theme="5"/>
      </right>
      <top/>
      <bottom style="medium">
        <color theme="5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theme="4"/>
      </right>
      <top/>
      <bottom style="thin">
        <color indexed="64"/>
      </bottom>
      <diagonal/>
    </border>
    <border>
      <left style="medium">
        <color theme="5"/>
      </left>
      <right/>
      <top style="medium">
        <color theme="5"/>
      </top>
      <bottom/>
      <diagonal/>
    </border>
    <border>
      <left/>
      <right/>
      <top style="medium">
        <color theme="5"/>
      </top>
      <bottom/>
      <diagonal/>
    </border>
    <border>
      <left/>
      <right style="medium">
        <color theme="5"/>
      </right>
      <top style="medium">
        <color theme="5"/>
      </top>
      <bottom/>
      <diagonal/>
    </border>
    <border>
      <left/>
      <right/>
      <top style="thin">
        <color theme="5"/>
      </top>
      <bottom style="hair">
        <color theme="5"/>
      </bottom>
      <diagonal/>
    </border>
    <border>
      <left/>
      <right style="medium">
        <color theme="5"/>
      </right>
      <top style="thin">
        <color theme="5"/>
      </top>
      <bottom style="hair">
        <color theme="5"/>
      </bottom>
      <diagonal/>
    </border>
    <border>
      <left/>
      <right/>
      <top style="hair">
        <color theme="5"/>
      </top>
      <bottom style="hair">
        <color theme="5"/>
      </bottom>
      <diagonal/>
    </border>
    <border>
      <left/>
      <right style="medium">
        <color theme="5"/>
      </right>
      <top style="hair">
        <color theme="5"/>
      </top>
      <bottom style="hair">
        <color theme="5"/>
      </bottom>
      <diagonal/>
    </border>
    <border>
      <left/>
      <right/>
      <top style="hair">
        <color theme="5"/>
      </top>
      <bottom style="thin">
        <color theme="5"/>
      </bottom>
      <diagonal/>
    </border>
    <border>
      <left/>
      <right style="medium">
        <color theme="5"/>
      </right>
      <top style="hair">
        <color theme="5"/>
      </top>
      <bottom style="thin">
        <color theme="5"/>
      </bottom>
      <diagonal/>
    </border>
    <border>
      <left style="medium">
        <color theme="5"/>
      </left>
      <right/>
      <top style="thin">
        <color theme="5"/>
      </top>
      <bottom style="hair">
        <color theme="5"/>
      </bottom>
      <diagonal/>
    </border>
    <border>
      <left style="medium">
        <color theme="5"/>
      </left>
      <right/>
      <top style="hair">
        <color theme="5"/>
      </top>
      <bottom style="hair">
        <color theme="5"/>
      </bottom>
      <diagonal/>
    </border>
    <border>
      <left style="medium">
        <color theme="5"/>
      </left>
      <right/>
      <top style="hair">
        <color theme="5"/>
      </top>
      <bottom style="thin">
        <color theme="5"/>
      </bottom>
      <diagonal/>
    </border>
    <border>
      <left/>
      <right/>
      <top/>
      <bottom style="thin">
        <color theme="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24" xfId="0" applyFont="1" applyBorder="1"/>
    <xf numFmtId="0" fontId="6" fillId="0" borderId="24" xfId="0" applyFont="1" applyBorder="1"/>
    <xf numFmtId="0" fontId="7" fillId="0" borderId="24" xfId="0" applyFont="1" applyBorder="1"/>
    <xf numFmtId="0" fontId="8" fillId="0" borderId="24" xfId="0" applyFont="1" applyBorder="1"/>
    <xf numFmtId="0" fontId="9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2" fillId="0" borderId="27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13" fillId="0" borderId="2" xfId="0" applyFont="1" applyBorder="1" applyAlignment="1">
      <alignment horizontal="right" vertical="center"/>
    </xf>
    <xf numFmtId="0" fontId="13" fillId="0" borderId="25" xfId="0" applyFont="1" applyBorder="1" applyAlignment="1">
      <alignment horizontal="left" vertical="center"/>
    </xf>
    <xf numFmtId="0" fontId="4" fillId="0" borderId="14" xfId="0" applyFont="1" applyBorder="1" applyAlignment="1">
      <alignment vertical="center"/>
    </xf>
    <xf numFmtId="0" fontId="14" fillId="0" borderId="0" xfId="0" applyFont="1" applyBorder="1" applyAlignment="1">
      <alignment horizontal="right" vertical="center"/>
    </xf>
    <xf numFmtId="0" fontId="14" fillId="0" borderId="15" xfId="0" applyFont="1" applyBorder="1" applyAlignment="1">
      <alignment horizontal="right" vertical="center"/>
    </xf>
    <xf numFmtId="0" fontId="14" fillId="0" borderId="2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5" fillId="0" borderId="7" xfId="0" applyFont="1" applyBorder="1" applyAlignment="1">
      <alignment vertical="center"/>
    </xf>
    <xf numFmtId="9" fontId="15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8" xfId="0" applyFont="1" applyBorder="1" applyAlignment="1">
      <alignment vertical="center"/>
    </xf>
    <xf numFmtId="0" fontId="1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35" xfId="0" applyFont="1" applyBorder="1" applyAlignment="1">
      <alignment vertical="center"/>
    </xf>
    <xf numFmtId="3" fontId="4" fillId="0" borderId="29" xfId="1" applyNumberFormat="1" applyFont="1" applyFill="1" applyBorder="1" applyAlignment="1">
      <alignment horizontal="center" vertical="center"/>
    </xf>
    <xf numFmtId="165" fontId="4" fillId="0" borderId="29" xfId="1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165" fontId="4" fillId="0" borderId="30" xfId="1" applyNumberFormat="1" applyFont="1" applyFill="1" applyBorder="1" applyAlignment="1">
      <alignment horizontal="center" vertical="center"/>
    </xf>
    <xf numFmtId="168" fontId="4" fillId="0" borderId="0" xfId="0" applyNumberFormat="1" applyFont="1" applyBorder="1" applyAlignment="1">
      <alignment vertical="center"/>
    </xf>
    <xf numFmtId="168" fontId="4" fillId="0" borderId="15" xfId="0" applyNumberFormat="1" applyFont="1" applyBorder="1" applyAlignment="1">
      <alignment vertical="center"/>
    </xf>
    <xf numFmtId="0" fontId="4" fillId="0" borderId="36" xfId="0" applyFont="1" applyBorder="1" applyAlignment="1">
      <alignment vertical="center"/>
    </xf>
    <xf numFmtId="3" fontId="4" fillId="0" borderId="31" xfId="1" applyNumberFormat="1" applyFont="1" applyFill="1" applyBorder="1" applyAlignment="1">
      <alignment horizontal="center" vertical="center"/>
    </xf>
    <xf numFmtId="165" fontId="4" fillId="0" borderId="31" xfId="1" applyNumberFormat="1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165" fontId="4" fillId="0" borderId="32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68" fontId="4" fillId="0" borderId="0" xfId="1" applyNumberFormat="1" applyFont="1" applyFill="1" applyBorder="1" applyAlignment="1">
      <alignment vertical="center"/>
    </xf>
    <xf numFmtId="0" fontId="4" fillId="0" borderId="8" xfId="0" applyFont="1" applyBorder="1" applyAlignment="1">
      <alignment vertical="center"/>
    </xf>
    <xf numFmtId="9" fontId="4" fillId="0" borderId="0" xfId="2" applyFont="1" applyFill="1" applyBorder="1" applyAlignment="1">
      <alignment vertical="center"/>
    </xf>
    <xf numFmtId="9" fontId="4" fillId="0" borderId="15" xfId="2" applyFont="1" applyFill="1" applyBorder="1" applyAlignment="1">
      <alignment vertical="center"/>
    </xf>
    <xf numFmtId="168" fontId="16" fillId="4" borderId="0" xfId="0" applyNumberFormat="1" applyFont="1" applyFill="1" applyBorder="1" applyAlignment="1">
      <alignment vertical="center"/>
    </xf>
    <xf numFmtId="168" fontId="16" fillId="4" borderId="15" xfId="0" applyNumberFormat="1" applyFont="1" applyFill="1" applyBorder="1" applyAlignment="1">
      <alignment vertical="center"/>
    </xf>
    <xf numFmtId="0" fontId="4" fillId="0" borderId="37" xfId="0" applyFont="1" applyBorder="1" applyAlignment="1">
      <alignment vertical="center"/>
    </xf>
    <xf numFmtId="3" fontId="4" fillId="0" borderId="33" xfId="1" applyNumberFormat="1" applyFont="1" applyFill="1" applyBorder="1" applyAlignment="1">
      <alignment horizontal="center" vertical="center"/>
    </xf>
    <xf numFmtId="165" fontId="4" fillId="0" borderId="33" xfId="1" applyNumberFormat="1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65" fontId="4" fillId="0" borderId="34" xfId="1" applyNumberFormat="1" applyFont="1" applyFill="1" applyBorder="1" applyAlignment="1">
      <alignment horizontal="center" vertical="center"/>
    </xf>
    <xf numFmtId="168" fontId="14" fillId="0" borderId="0" xfId="1" applyNumberFormat="1" applyFont="1" applyFill="1" applyBorder="1" applyAlignment="1">
      <alignment vertical="center"/>
    </xf>
    <xf numFmtId="0" fontId="14" fillId="0" borderId="20" xfId="0" applyFont="1" applyBorder="1" applyAlignment="1">
      <alignment vertical="center"/>
    </xf>
    <xf numFmtId="165" fontId="14" fillId="0" borderId="0" xfId="0" applyNumberFormat="1" applyFont="1" applyBorder="1" applyAlignment="1">
      <alignment vertical="center"/>
    </xf>
    <xf numFmtId="165" fontId="14" fillId="0" borderId="0" xfId="1" applyNumberFormat="1" applyFont="1" applyBorder="1" applyAlignment="1">
      <alignment vertical="center"/>
    </xf>
    <xf numFmtId="165" fontId="14" fillId="0" borderId="21" xfId="0" applyNumberFormat="1" applyFont="1" applyBorder="1" applyAlignment="1">
      <alignment vertical="center"/>
    </xf>
    <xf numFmtId="169" fontId="4" fillId="0" borderId="0" xfId="1" applyNumberFormat="1" applyFont="1" applyFill="1" applyBorder="1" applyAlignment="1">
      <alignment vertical="center"/>
    </xf>
    <xf numFmtId="164" fontId="4" fillId="0" borderId="0" xfId="0" applyNumberFormat="1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168" fontId="16" fillId="3" borderId="0" xfId="0" applyNumberFormat="1" applyFont="1" applyFill="1" applyBorder="1" applyAlignment="1">
      <alignment vertical="center"/>
    </xf>
    <xf numFmtId="0" fontId="4" fillId="0" borderId="22" xfId="0" applyFont="1" applyBorder="1"/>
    <xf numFmtId="0" fontId="4" fillId="0" borderId="1" xfId="0" applyFont="1" applyBorder="1"/>
    <xf numFmtId="0" fontId="4" fillId="0" borderId="23" xfId="0" applyFont="1" applyBorder="1"/>
    <xf numFmtId="0" fontId="14" fillId="0" borderId="7" xfId="0" applyFont="1" applyBorder="1" applyAlignment="1">
      <alignment vertical="center"/>
    </xf>
    <xf numFmtId="168" fontId="16" fillId="2" borderId="0" xfId="0" applyNumberFormat="1" applyFont="1" applyFill="1" applyAlignment="1">
      <alignment vertical="center"/>
    </xf>
    <xf numFmtId="168" fontId="17" fillId="0" borderId="0" xfId="0" applyNumberFormat="1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14" fillId="0" borderId="7" xfId="0" applyFont="1" applyBorder="1" applyAlignment="1">
      <alignment vertical="center" wrapText="1"/>
    </xf>
    <xf numFmtId="0" fontId="10" fillId="0" borderId="11" xfId="0" applyFont="1" applyBorder="1"/>
    <xf numFmtId="0" fontId="12" fillId="0" borderId="12" xfId="0" applyFont="1" applyBorder="1"/>
    <xf numFmtId="0" fontId="12" fillId="0" borderId="13" xfId="0" applyFont="1" applyBorder="1"/>
    <xf numFmtId="0" fontId="4" fillId="0" borderId="14" xfId="0" applyFont="1" applyBorder="1"/>
    <xf numFmtId="0" fontId="4" fillId="0" borderId="0" xfId="0" applyFont="1" applyBorder="1"/>
    <xf numFmtId="0" fontId="4" fillId="0" borderId="15" xfId="0" applyFont="1" applyBorder="1"/>
    <xf numFmtId="0" fontId="18" fillId="0" borderId="14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65" fontId="19" fillId="2" borderId="0" xfId="1" applyNumberFormat="1" applyFont="1" applyFill="1" applyBorder="1" applyAlignment="1">
      <alignment vertical="center"/>
    </xf>
    <xf numFmtId="167" fontId="4" fillId="0" borderId="0" xfId="2" applyNumberFormat="1" applyFont="1" applyBorder="1" applyAlignment="1">
      <alignment horizontal="left"/>
    </xf>
    <xf numFmtId="0" fontId="4" fillId="0" borderId="9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20" fillId="4" borderId="0" xfId="0" applyFont="1" applyFill="1" applyBorder="1" applyAlignment="1">
      <alignment horizontal="left"/>
    </xf>
    <xf numFmtId="0" fontId="14" fillId="0" borderId="0" xfId="0" applyFont="1"/>
    <xf numFmtId="0" fontId="4" fillId="0" borderId="0" xfId="0" applyFont="1" applyAlignment="1">
      <alignment horizontal="center" wrapText="1"/>
    </xf>
    <xf numFmtId="0" fontId="14" fillId="0" borderId="19" xfId="0" applyFont="1" applyBorder="1" applyAlignment="1">
      <alignment horizontal="center" wrapText="1"/>
    </xf>
    <xf numFmtId="9" fontId="4" fillId="0" borderId="0" xfId="0" applyNumberFormat="1" applyFont="1"/>
    <xf numFmtId="167" fontId="4" fillId="0" borderId="0" xfId="0" applyNumberFormat="1" applyFont="1"/>
    <xf numFmtId="167" fontId="4" fillId="0" borderId="0" xfId="2" applyNumberFormat="1" applyFont="1"/>
    <xf numFmtId="167" fontId="14" fillId="0" borderId="0" xfId="0" applyNumberFormat="1" applyFont="1"/>
    <xf numFmtId="166" fontId="4" fillId="0" borderId="0" xfId="1" applyNumberFormat="1" applyFont="1" applyBorder="1" applyAlignment="1">
      <alignment horizontal="left"/>
    </xf>
    <xf numFmtId="164" fontId="20" fillId="4" borderId="0" xfId="0" applyNumberFormat="1" applyFont="1" applyFill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7" xfId="0" applyFont="1" applyBorder="1"/>
    <xf numFmtId="0" fontId="4" fillId="0" borderId="18" xfId="0" applyFont="1" applyBorder="1"/>
    <xf numFmtId="0" fontId="21" fillId="0" borderId="3" xfId="0" applyFont="1" applyBorder="1"/>
    <xf numFmtId="0" fontId="4" fillId="0" borderId="3" xfId="0" applyFont="1" applyBorder="1"/>
    <xf numFmtId="0" fontId="4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165" fontId="14" fillId="0" borderId="0" xfId="0" applyNumberFormat="1" applyFont="1" applyAlignment="1">
      <alignment vertical="center"/>
    </xf>
    <xf numFmtId="168" fontId="14" fillId="0" borderId="0" xfId="1" applyNumberFormat="1" applyFont="1" applyFill="1" applyAlignment="1">
      <alignment vertical="center"/>
    </xf>
    <xf numFmtId="165" fontId="4" fillId="0" borderId="0" xfId="1" applyNumberFormat="1" applyFont="1" applyFill="1" applyAlignment="1">
      <alignment vertical="center"/>
    </xf>
    <xf numFmtId="166" fontId="4" fillId="0" borderId="0" xfId="1" applyNumberFormat="1" applyFont="1" applyFill="1" applyAlignment="1">
      <alignment vertical="center"/>
    </xf>
    <xf numFmtId="9" fontId="4" fillId="0" borderId="0" xfId="0" applyNumberFormat="1" applyFont="1" applyAlignment="1">
      <alignment vertical="center"/>
    </xf>
    <xf numFmtId="0" fontId="14" fillId="0" borderId="0" xfId="1" applyNumberFormat="1" applyFont="1" applyAlignment="1">
      <alignment horizontal="left" vertical="center"/>
    </xf>
    <xf numFmtId="165" fontId="4" fillId="0" borderId="0" xfId="0" applyNumberFormat="1" applyFont="1" applyAlignment="1">
      <alignment vertical="center"/>
    </xf>
    <xf numFmtId="167" fontId="15" fillId="0" borderId="0" xfId="2" applyNumberFormat="1" applyFont="1" applyFill="1" applyAlignment="1">
      <alignment vertical="center"/>
    </xf>
    <xf numFmtId="165" fontId="15" fillId="0" borderId="0" xfId="1" applyNumberFormat="1" applyFont="1" applyFill="1" applyAlignment="1">
      <alignment vertical="center"/>
    </xf>
    <xf numFmtId="0" fontId="13" fillId="0" borderId="38" xfId="0" applyFont="1" applyBorder="1" applyAlignment="1">
      <alignment horizontal="right"/>
    </xf>
    <xf numFmtId="0" fontId="14" fillId="5" borderId="0" xfId="0" applyFont="1" applyFill="1"/>
    <xf numFmtId="0" fontId="4" fillId="5" borderId="0" xfId="0" applyFont="1" applyFill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FME Blog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7AFF"/>
      </a:accent1>
      <a:accent2>
        <a:srgbClr val="3E52BD"/>
      </a:accent2>
      <a:accent3>
        <a:srgbClr val="00C500"/>
      </a:accent3>
      <a:accent4>
        <a:srgbClr val="FFC114"/>
      </a:accent4>
      <a:accent5>
        <a:srgbClr val="F36F35"/>
      </a:accent5>
      <a:accent6>
        <a:srgbClr val="2B6FAF"/>
      </a:accent6>
      <a:hlink>
        <a:srgbClr val="3C78D8"/>
      </a:hlink>
      <a:folHlink>
        <a:srgbClr val="3C78D8"/>
      </a:folHlink>
    </a:clrScheme>
    <a:fontScheme name="Monserrat Family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7"/>
  <sheetViews>
    <sheetView showGridLines="0" tabSelected="1" zoomScale="85" zoomScaleNormal="85" workbookViewId="0">
      <selection activeCell="K3" sqref="K3"/>
    </sheetView>
  </sheetViews>
  <sheetFormatPr defaultRowHeight="15" x14ac:dyDescent="0.3"/>
  <cols>
    <col min="1" max="1" width="46.28515625" style="2" customWidth="1"/>
    <col min="2" max="2" width="11.85546875" style="2" customWidth="1"/>
    <col min="3" max="3" width="9" style="2" hidden="1" customWidth="1"/>
    <col min="4" max="4" width="11" style="2" customWidth="1"/>
    <col min="5" max="5" width="8" style="2" bestFit="1" customWidth="1"/>
    <col min="6" max="8" width="8.85546875" style="2" bestFit="1" customWidth="1"/>
    <col min="9" max="9" width="9.7109375" style="2" bestFit="1" customWidth="1"/>
    <col min="10" max="10" width="0" style="2" hidden="1" customWidth="1"/>
    <col min="11" max="11" width="31.28515625" style="2" customWidth="1"/>
    <col min="12" max="12" width="4.85546875" style="2" customWidth="1"/>
    <col min="13" max="13" width="46.28515625" style="2" customWidth="1"/>
    <col min="14" max="14" width="11.85546875" style="2" customWidth="1"/>
    <col min="15" max="15" width="3.7109375" style="2" customWidth="1"/>
    <col min="16" max="16" width="10.7109375" style="2" customWidth="1"/>
    <col min="17" max="17" width="4.85546875" style="2" customWidth="1"/>
    <col min="18" max="18" width="46.28515625" style="2" customWidth="1"/>
    <col min="19" max="19" width="11.85546875" style="2" customWidth="1"/>
    <col min="20" max="20" width="18.140625" style="2" customWidth="1"/>
    <col min="21" max="21" width="12.5703125" style="2" customWidth="1"/>
    <col min="22" max="22" width="11.140625" style="2" customWidth="1"/>
    <col min="23" max="23" width="13.28515625" style="2" customWidth="1"/>
    <col min="24" max="16384" width="9.140625" style="2"/>
  </cols>
  <sheetData>
    <row r="1" spans="1:23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23" ht="24.75" thickBot="1" x14ac:dyDescent="0.5">
      <c r="A2" s="3" t="s">
        <v>49</v>
      </c>
      <c r="B2" s="4"/>
      <c r="C2" s="4"/>
      <c r="D2" s="4"/>
      <c r="E2" s="4"/>
      <c r="F2" s="4"/>
      <c r="G2" s="4"/>
      <c r="H2" s="4"/>
      <c r="I2" s="4"/>
      <c r="J2" s="4"/>
      <c r="K2" s="4"/>
      <c r="M2" s="5" t="s">
        <v>47</v>
      </c>
      <c r="N2" s="4"/>
      <c r="O2" s="4"/>
      <c r="P2" s="4"/>
      <c r="R2" s="6" t="s">
        <v>70</v>
      </c>
      <c r="S2" s="4"/>
      <c r="T2" s="4"/>
      <c r="U2" s="4"/>
      <c r="V2" s="4"/>
      <c r="W2" s="4"/>
    </row>
    <row r="4" spans="1:23" ht="15.75" thickBot="1" x14ac:dyDescent="0.35"/>
    <row r="5" spans="1:23" ht="18.75" x14ac:dyDescent="0.3">
      <c r="A5" s="7" t="s">
        <v>50</v>
      </c>
      <c r="B5" s="8"/>
      <c r="C5" s="8"/>
      <c r="D5" s="8"/>
      <c r="E5" s="8"/>
      <c r="F5" s="8"/>
      <c r="G5" s="8"/>
      <c r="H5" s="8"/>
      <c r="I5" s="8"/>
      <c r="J5" s="8"/>
      <c r="K5" s="9"/>
      <c r="M5" s="10" t="s">
        <v>76</v>
      </c>
      <c r="N5" s="11"/>
      <c r="O5" s="11"/>
      <c r="P5" s="12"/>
      <c r="R5" s="13" t="s">
        <v>15</v>
      </c>
      <c r="S5" s="14"/>
      <c r="T5" s="15"/>
      <c r="U5" s="15"/>
      <c r="V5" s="15"/>
      <c r="W5" s="16"/>
    </row>
    <row r="6" spans="1:23" ht="45" x14ac:dyDescent="0.3">
      <c r="A6" s="17"/>
      <c r="B6" s="18"/>
      <c r="C6" s="18">
        <v>2023</v>
      </c>
      <c r="D6" s="18">
        <v>2024</v>
      </c>
      <c r="E6" s="18">
        <v>2025</v>
      </c>
      <c r="F6" s="18">
        <v>2026</v>
      </c>
      <c r="G6" s="18">
        <v>2027</v>
      </c>
      <c r="H6" s="18">
        <v>2028</v>
      </c>
      <c r="I6" s="18">
        <v>2029</v>
      </c>
      <c r="J6" s="18"/>
      <c r="K6" s="19" t="s">
        <v>5</v>
      </c>
      <c r="M6" s="20"/>
      <c r="N6" s="21" t="s">
        <v>23</v>
      </c>
      <c r="O6" s="21"/>
      <c r="P6" s="22" t="s">
        <v>24</v>
      </c>
      <c r="R6" s="23"/>
      <c r="S6" s="24"/>
      <c r="T6" s="24" t="s">
        <v>74</v>
      </c>
      <c r="U6" s="24" t="s">
        <v>34</v>
      </c>
      <c r="V6" s="24" t="s">
        <v>65</v>
      </c>
      <c r="W6" s="25" t="s">
        <v>35</v>
      </c>
    </row>
    <row r="7" spans="1:23" x14ac:dyDescent="0.3">
      <c r="A7" s="26" t="s">
        <v>8</v>
      </c>
      <c r="B7" s="27">
        <f>Valuation!E33</f>
        <v>0.114</v>
      </c>
      <c r="C7" s="27"/>
      <c r="D7" s="28"/>
      <c r="E7" s="28"/>
      <c r="F7" s="28"/>
      <c r="G7" s="28"/>
      <c r="H7" s="28"/>
      <c r="I7" s="28"/>
      <c r="J7" s="28"/>
      <c r="K7" s="29" t="s">
        <v>36</v>
      </c>
      <c r="M7" s="30" t="s">
        <v>25</v>
      </c>
      <c r="N7" s="31">
        <v>10</v>
      </c>
      <c r="O7" s="31"/>
      <c r="P7" s="32">
        <v>15</v>
      </c>
      <c r="R7" s="33" t="s">
        <v>58</v>
      </c>
      <c r="S7" s="34"/>
      <c r="T7" s="35">
        <v>1650</v>
      </c>
      <c r="U7" s="36">
        <v>10</v>
      </c>
      <c r="V7" s="36">
        <v>0.5</v>
      </c>
      <c r="W7" s="37">
        <f>T7/U7*V7</f>
        <v>82.5</v>
      </c>
    </row>
    <row r="8" spans="1:23" x14ac:dyDescent="0.3">
      <c r="A8" s="26" t="s">
        <v>9</v>
      </c>
      <c r="B8" s="27">
        <v>0.04</v>
      </c>
      <c r="C8" s="27"/>
      <c r="D8" s="28"/>
      <c r="E8" s="28"/>
      <c r="F8" s="28"/>
      <c r="G8" s="28"/>
      <c r="H8" s="28"/>
      <c r="I8" s="28"/>
      <c r="J8" s="28"/>
      <c r="K8" s="29" t="s">
        <v>21</v>
      </c>
      <c r="M8" s="20" t="s">
        <v>29</v>
      </c>
      <c r="N8" s="38">
        <f>Forecast!E32</f>
        <v>7204.5302813117951</v>
      </c>
      <c r="O8" s="38"/>
      <c r="P8" s="39">
        <f>N8</f>
        <v>7204.5302813117951</v>
      </c>
      <c r="R8" s="40" t="s">
        <v>59</v>
      </c>
      <c r="S8" s="41"/>
      <c r="T8" s="42">
        <v>2500</v>
      </c>
      <c r="U8" s="43">
        <v>10</v>
      </c>
      <c r="V8" s="43">
        <v>5</v>
      </c>
      <c r="W8" s="44">
        <f>T8/U8*V8</f>
        <v>1250</v>
      </c>
    </row>
    <row r="9" spans="1:23" x14ac:dyDescent="0.3">
      <c r="A9" s="17" t="s">
        <v>31</v>
      </c>
      <c r="B9" s="45"/>
      <c r="C9" s="45"/>
      <c r="D9" s="46"/>
      <c r="E9" s="46"/>
      <c r="F9" s="46">
        <v>-5150</v>
      </c>
      <c r="G9" s="46"/>
      <c r="H9" s="46"/>
      <c r="I9" s="46"/>
      <c r="J9" s="46"/>
      <c r="K9" s="47"/>
      <c r="M9" s="20" t="s">
        <v>22</v>
      </c>
      <c r="N9" s="38">
        <f>N8*N7</f>
        <v>72045.302813117945</v>
      </c>
      <c r="O9" s="38"/>
      <c r="P9" s="39">
        <f>P8*P7</f>
        <v>108067.95421967693</v>
      </c>
      <c r="R9" s="40" t="s">
        <v>60</v>
      </c>
      <c r="S9" s="41"/>
      <c r="T9" s="42">
        <v>3150</v>
      </c>
      <c r="U9" s="43">
        <v>10</v>
      </c>
      <c r="V9" s="43">
        <v>9.5</v>
      </c>
      <c r="W9" s="44">
        <f>T9/U9*V9</f>
        <v>2992.5</v>
      </c>
    </row>
    <row r="10" spans="1:23" x14ac:dyDescent="0.3">
      <c r="A10" s="17" t="s">
        <v>7</v>
      </c>
      <c r="B10" s="45"/>
      <c r="C10" s="45"/>
      <c r="D10" s="46"/>
      <c r="E10" s="46">
        <f>Forecast!E30</f>
        <v>6005.6242250494361</v>
      </c>
      <c r="F10" s="46">
        <f>Forecast!F30</f>
        <v>7099.7923181444667</v>
      </c>
      <c r="G10" s="46">
        <f>Forecast!G30</f>
        <v>7293.2695572562134</v>
      </c>
      <c r="H10" s="46">
        <f>Forecast!H30</f>
        <v>7499.8349895260744</v>
      </c>
      <c r="I10" s="46">
        <f>Forecast!I30</f>
        <v>7434.669214376644</v>
      </c>
      <c r="J10" s="46"/>
      <c r="K10" s="47"/>
      <c r="M10" s="20" t="s">
        <v>32</v>
      </c>
      <c r="N10" s="48">
        <v>0.1</v>
      </c>
      <c r="O10" s="48"/>
      <c r="P10" s="49">
        <v>0.1</v>
      </c>
      <c r="R10" s="40" t="s">
        <v>61</v>
      </c>
      <c r="S10" s="41"/>
      <c r="T10" s="42">
        <v>3150</v>
      </c>
      <c r="U10" s="43">
        <v>10</v>
      </c>
      <c r="V10" s="43">
        <v>8</v>
      </c>
      <c r="W10" s="44">
        <f>T10/U10*V10</f>
        <v>2520</v>
      </c>
    </row>
    <row r="11" spans="1:23" x14ac:dyDescent="0.3">
      <c r="A11" s="17" t="s">
        <v>14</v>
      </c>
      <c r="B11" s="45"/>
      <c r="C11" s="45"/>
      <c r="D11" s="46"/>
      <c r="E11" s="46"/>
      <c r="F11" s="46"/>
      <c r="G11" s="46"/>
      <c r="H11" s="46"/>
      <c r="I11" s="46"/>
      <c r="J11" s="46"/>
      <c r="K11" s="47" t="s">
        <v>20</v>
      </c>
      <c r="M11" s="20" t="s">
        <v>33</v>
      </c>
      <c r="N11" s="50">
        <f>N9*(1-N10)</f>
        <v>64840.772531806149</v>
      </c>
      <c r="O11" s="50"/>
      <c r="P11" s="51">
        <f>P9*(1-P10)</f>
        <v>97261.158797709242</v>
      </c>
      <c r="R11" s="40" t="s">
        <v>62</v>
      </c>
      <c r="S11" s="41"/>
      <c r="T11" s="42">
        <v>1650</v>
      </c>
      <c r="U11" s="43">
        <v>10</v>
      </c>
      <c r="V11" s="43">
        <v>1.5</v>
      </c>
      <c r="W11" s="44">
        <f>T11/U11*V11</f>
        <v>247.5</v>
      </c>
    </row>
    <row r="12" spans="1:23" x14ac:dyDescent="0.3">
      <c r="A12" s="17" t="s">
        <v>10</v>
      </c>
      <c r="B12" s="45"/>
      <c r="C12" s="45"/>
      <c r="D12" s="46"/>
      <c r="E12" s="46"/>
      <c r="F12" s="46"/>
      <c r="G12" s="46"/>
      <c r="H12" s="46"/>
      <c r="I12" s="46">
        <f>I10*(1+B8)/(B7-B8)</f>
        <v>104487.24301286093</v>
      </c>
      <c r="J12" s="45"/>
      <c r="K12" s="47"/>
      <c r="M12" s="30"/>
      <c r="N12" s="31"/>
      <c r="O12" s="31"/>
      <c r="P12" s="32"/>
      <c r="R12" s="40" t="s">
        <v>63</v>
      </c>
      <c r="S12" s="41"/>
      <c r="T12" s="42">
        <v>3150</v>
      </c>
      <c r="U12" s="43">
        <v>10</v>
      </c>
      <c r="V12" s="43">
        <v>5</v>
      </c>
      <c r="W12" s="44">
        <f>T12/U12*V12</f>
        <v>1575</v>
      </c>
    </row>
    <row r="13" spans="1:23" x14ac:dyDescent="0.3">
      <c r="A13" s="17"/>
      <c r="B13" s="45"/>
      <c r="C13" s="45"/>
      <c r="D13" s="46"/>
      <c r="E13" s="46"/>
      <c r="F13" s="46"/>
      <c r="G13" s="46"/>
      <c r="H13" s="46"/>
      <c r="I13" s="46"/>
      <c r="J13" s="46"/>
      <c r="K13" s="47"/>
      <c r="M13" s="30" t="s">
        <v>26</v>
      </c>
      <c r="N13" s="31">
        <v>2</v>
      </c>
      <c r="O13" s="31"/>
      <c r="P13" s="32">
        <v>3</v>
      </c>
      <c r="R13" s="52" t="s">
        <v>64</v>
      </c>
      <c r="S13" s="53"/>
      <c r="T13" s="54">
        <v>2000</v>
      </c>
      <c r="U13" s="55">
        <v>10</v>
      </c>
      <c r="V13" s="55">
        <v>6</v>
      </c>
      <c r="W13" s="56">
        <f>T13/U13*V13</f>
        <v>1200</v>
      </c>
    </row>
    <row r="14" spans="1:23" x14ac:dyDescent="0.3">
      <c r="A14" s="17" t="s">
        <v>11</v>
      </c>
      <c r="B14" s="45"/>
      <c r="C14" s="45"/>
      <c r="D14" s="57"/>
      <c r="E14" s="57">
        <f>SUM(E9:E12)</f>
        <v>6005.6242250494361</v>
      </c>
      <c r="F14" s="57">
        <f>SUM(F9:F12)</f>
        <v>1949.7923181444667</v>
      </c>
      <c r="G14" s="57">
        <f>SUM(G9:G12)</f>
        <v>7293.2695572562134</v>
      </c>
      <c r="H14" s="57">
        <f>SUM(H9:H12)</f>
        <v>7499.8349895260744</v>
      </c>
      <c r="I14" s="57">
        <f>SUM(I9:I12)</f>
        <v>111921.91222723757</v>
      </c>
      <c r="J14" s="57"/>
      <c r="K14" s="47"/>
      <c r="M14" s="20" t="s">
        <v>75</v>
      </c>
      <c r="N14" s="38">
        <f>Forecast!E7</f>
        <v>22117.354653992948</v>
      </c>
      <c r="O14" s="38"/>
      <c r="P14" s="39">
        <f>N14</f>
        <v>22117.354653992948</v>
      </c>
      <c r="R14" s="58" t="s">
        <v>27</v>
      </c>
      <c r="S14" s="59"/>
      <c r="T14" s="60">
        <f>SUM(T7:T13)</f>
        <v>17250</v>
      </c>
      <c r="U14" s="59"/>
      <c r="V14" s="59"/>
      <c r="W14" s="61">
        <f>SUM(W7:W13)</f>
        <v>9867.5</v>
      </c>
    </row>
    <row r="15" spans="1:23" x14ac:dyDescent="0.3">
      <c r="A15" s="17" t="s">
        <v>12</v>
      </c>
      <c r="B15" s="45"/>
      <c r="C15" s="45"/>
      <c r="D15" s="62"/>
      <c r="E15" s="62">
        <f>1/(1+$B$7)^(E6-$D$6)</f>
        <v>0.89766606822262107</v>
      </c>
      <c r="F15" s="62">
        <f>1/(1+$B$7)^(F6-$D$6)</f>
        <v>0.80580437003825944</v>
      </c>
      <c r="G15" s="62">
        <f>1/(1+$B$7)^(G6-$D$6)</f>
        <v>0.72334324060885047</v>
      </c>
      <c r="H15" s="62">
        <f>1/(1+$B$7)^(H6-$D$6)</f>
        <v>0.64932068277275623</v>
      </c>
      <c r="I15" s="62">
        <f>1/(1+$B$7)^(I6-$D$6)</f>
        <v>0.58287314432024795</v>
      </c>
      <c r="J15" s="62"/>
      <c r="K15" s="47"/>
      <c r="M15" s="20" t="s">
        <v>22</v>
      </c>
      <c r="N15" s="63">
        <f>N14*N13</f>
        <v>44234.709307985897</v>
      </c>
      <c r="O15" s="38"/>
      <c r="P15" s="39">
        <f>P14*P13</f>
        <v>66352.063961978842</v>
      </c>
      <c r="R15" s="64"/>
      <c r="S15" s="31"/>
      <c r="T15" s="31"/>
      <c r="U15" s="31"/>
      <c r="V15" s="31"/>
      <c r="W15" s="65"/>
    </row>
    <row r="16" spans="1:23" x14ac:dyDescent="0.3">
      <c r="A16" s="17" t="s">
        <v>13</v>
      </c>
      <c r="B16" s="45"/>
      <c r="C16" s="45"/>
      <c r="D16" s="57"/>
      <c r="E16" s="57">
        <f>E15*E14</f>
        <v>5391.045085322653</v>
      </c>
      <c r="F16" s="57">
        <f>F15*F14</f>
        <v>1571.1511706278395</v>
      </c>
      <c r="G16" s="57">
        <f>G15*G14</f>
        <v>5275.5372361795853</v>
      </c>
      <c r="H16" s="57">
        <f>H15*H14</f>
        <v>4869.7979760820781</v>
      </c>
      <c r="I16" s="57">
        <f>I15*I14</f>
        <v>65236.276898224765</v>
      </c>
      <c r="J16" s="57"/>
      <c r="K16" s="47"/>
      <c r="M16" s="20" t="s">
        <v>32</v>
      </c>
      <c r="N16" s="48">
        <v>0.1</v>
      </c>
      <c r="O16" s="48"/>
      <c r="P16" s="49">
        <v>0.1</v>
      </c>
      <c r="R16" s="58" t="s">
        <v>37</v>
      </c>
      <c r="S16" s="66">
        <f>W14</f>
        <v>9867.5</v>
      </c>
      <c r="T16" s="31"/>
      <c r="U16" s="31"/>
      <c r="V16" s="31"/>
      <c r="W16" s="65"/>
    </row>
    <row r="17" spans="1:23" ht="15.75" thickBot="1" x14ac:dyDescent="0.35">
      <c r="A17" s="17"/>
      <c r="B17" s="45"/>
      <c r="C17" s="45"/>
      <c r="D17" s="45"/>
      <c r="E17" s="45"/>
      <c r="F17" s="45"/>
      <c r="G17" s="45"/>
      <c r="H17" s="45"/>
      <c r="I17" s="45"/>
      <c r="J17" s="45"/>
      <c r="K17" s="47"/>
      <c r="M17" s="20" t="s">
        <v>33</v>
      </c>
      <c r="N17" s="50">
        <f>N15*(1-N16)</f>
        <v>39811.238377187306</v>
      </c>
      <c r="O17" s="50"/>
      <c r="P17" s="51">
        <f>P15*(1-P16)</f>
        <v>59716.857565780956</v>
      </c>
      <c r="R17" s="67"/>
      <c r="S17" s="68"/>
      <c r="T17" s="68"/>
      <c r="U17" s="68"/>
      <c r="V17" s="68"/>
      <c r="W17" s="69"/>
    </row>
    <row r="18" spans="1:23" ht="15.75" thickBot="1" x14ac:dyDescent="0.35">
      <c r="A18" s="70" t="s">
        <v>30</v>
      </c>
      <c r="B18" s="71">
        <f>SUM(D16:I16)</f>
        <v>82343.808366436919</v>
      </c>
      <c r="C18" s="72"/>
      <c r="D18" s="45"/>
      <c r="E18" s="45"/>
      <c r="F18" s="45"/>
      <c r="G18" s="45"/>
      <c r="H18" s="45"/>
      <c r="I18" s="45"/>
      <c r="J18" s="45"/>
      <c r="K18" s="47"/>
      <c r="M18" s="73"/>
      <c r="N18" s="74"/>
      <c r="O18" s="74"/>
      <c r="P18" s="75"/>
    </row>
    <row r="19" spans="1:23" ht="15.75" thickBot="1" x14ac:dyDescent="0.35">
      <c r="A19" s="17"/>
      <c r="B19" s="45"/>
      <c r="C19" s="45"/>
      <c r="D19" s="45"/>
      <c r="E19" s="45"/>
      <c r="F19" s="45"/>
      <c r="G19" s="45"/>
      <c r="H19" s="45"/>
      <c r="I19" s="45"/>
      <c r="J19" s="45"/>
      <c r="K19" s="47"/>
    </row>
    <row r="20" spans="1:23" ht="18.75" x14ac:dyDescent="0.35">
      <c r="A20" s="76" t="s">
        <v>67</v>
      </c>
      <c r="B20" s="71">
        <v>5000</v>
      </c>
      <c r="C20" s="45"/>
      <c r="D20" s="45"/>
      <c r="E20" s="45"/>
      <c r="F20" s="45"/>
      <c r="G20" s="45"/>
      <c r="H20" s="45"/>
      <c r="I20" s="45"/>
      <c r="J20" s="45"/>
      <c r="K20" s="47"/>
      <c r="M20" s="77" t="s">
        <v>46</v>
      </c>
      <c r="N20" s="78"/>
      <c r="O20" s="78"/>
      <c r="P20" s="79"/>
    </row>
    <row r="21" spans="1:23" x14ac:dyDescent="0.3">
      <c r="A21" s="17"/>
      <c r="B21" s="45"/>
      <c r="C21" s="45"/>
      <c r="D21" s="45"/>
      <c r="E21" s="45"/>
      <c r="F21" s="45"/>
      <c r="G21" s="45"/>
      <c r="H21" s="45"/>
      <c r="I21" s="45"/>
      <c r="J21" s="45"/>
      <c r="K21" s="47"/>
      <c r="M21" s="80"/>
      <c r="N21" s="81"/>
      <c r="O21" s="81"/>
      <c r="P21" s="82"/>
    </row>
    <row r="22" spans="1:23" x14ac:dyDescent="0.3">
      <c r="A22" s="70" t="s">
        <v>69</v>
      </c>
      <c r="B22" s="71">
        <v>1000</v>
      </c>
      <c r="C22" s="45"/>
      <c r="D22" s="45"/>
      <c r="E22" s="45"/>
      <c r="F22" s="45"/>
      <c r="G22" s="45"/>
      <c r="H22" s="45"/>
      <c r="I22" s="45"/>
      <c r="J22" s="45"/>
      <c r="K22" s="47"/>
      <c r="M22" s="83" t="s">
        <v>71</v>
      </c>
      <c r="N22" s="84"/>
      <c r="O22" s="84"/>
      <c r="P22" s="85"/>
    </row>
    <row r="23" spans="1:23" x14ac:dyDescent="0.3">
      <c r="A23" s="17"/>
      <c r="B23" s="45"/>
      <c r="C23" s="45"/>
      <c r="D23" s="45"/>
      <c r="E23" s="45"/>
      <c r="F23" s="45"/>
      <c r="G23" s="45"/>
      <c r="H23" s="45"/>
      <c r="I23" s="45"/>
      <c r="J23" s="45"/>
      <c r="K23" s="47"/>
      <c r="M23" s="86" t="s">
        <v>39</v>
      </c>
      <c r="N23" s="84">
        <v>2021</v>
      </c>
      <c r="O23" s="84"/>
      <c r="P23" s="85"/>
    </row>
    <row r="24" spans="1:23" x14ac:dyDescent="0.3">
      <c r="A24" s="70" t="s">
        <v>68</v>
      </c>
      <c r="B24" s="87">
        <f>B18-(B20-B22)</f>
        <v>78343.808366436919</v>
      </c>
      <c r="C24" s="45"/>
      <c r="D24" s="45"/>
      <c r="E24" s="45"/>
      <c r="F24" s="45"/>
      <c r="G24" s="45"/>
      <c r="H24" s="45"/>
      <c r="I24" s="45"/>
      <c r="J24" s="45"/>
      <c r="K24" s="47"/>
      <c r="M24" s="86" t="s">
        <v>40</v>
      </c>
      <c r="N24" s="88">
        <f>92%*80%</f>
        <v>0.7360000000000001</v>
      </c>
      <c r="O24" s="84"/>
      <c r="P24" s="85"/>
    </row>
    <row r="25" spans="1:23" ht="15.75" thickBot="1" x14ac:dyDescent="0.35">
      <c r="A25" s="89"/>
      <c r="B25" s="90"/>
      <c r="C25" s="90"/>
      <c r="D25" s="90"/>
      <c r="E25" s="90"/>
      <c r="F25" s="90"/>
      <c r="G25" s="90"/>
      <c r="H25" s="90"/>
      <c r="I25" s="90"/>
      <c r="J25" s="90"/>
      <c r="K25" s="91"/>
      <c r="M25" s="86" t="s">
        <v>41</v>
      </c>
      <c r="N25" s="88" t="s">
        <v>42</v>
      </c>
      <c r="O25" s="84"/>
      <c r="P25" s="85"/>
    </row>
    <row r="26" spans="1:23" x14ac:dyDescent="0.3">
      <c r="M26" s="86" t="s">
        <v>43</v>
      </c>
      <c r="N26" s="92" t="s">
        <v>48</v>
      </c>
      <c r="O26" s="84"/>
      <c r="P26" s="85"/>
    </row>
    <row r="27" spans="1:23" x14ac:dyDescent="0.3">
      <c r="M27" s="86" t="s">
        <v>44</v>
      </c>
      <c r="N27" s="84">
        <v>7</v>
      </c>
      <c r="O27" s="84"/>
      <c r="P27" s="85"/>
    </row>
    <row r="28" spans="1:23" x14ac:dyDescent="0.3">
      <c r="A28" s="120" t="s">
        <v>66</v>
      </c>
      <c r="B28" s="121"/>
      <c r="C28" s="121"/>
      <c r="D28" s="121"/>
      <c r="E28" s="121"/>
      <c r="M28" s="86" t="s">
        <v>72</v>
      </c>
      <c r="N28" s="84">
        <v>55</v>
      </c>
      <c r="O28" s="84"/>
      <c r="P28" s="85"/>
    </row>
    <row r="29" spans="1:23" x14ac:dyDescent="0.3">
      <c r="B29" s="94"/>
      <c r="C29" s="94"/>
      <c r="D29" s="94"/>
      <c r="M29" s="86"/>
      <c r="N29" s="84"/>
      <c r="O29" s="84"/>
      <c r="P29" s="85"/>
    </row>
    <row r="30" spans="1:23" ht="30" x14ac:dyDescent="0.3">
      <c r="B30" s="95" t="s">
        <v>16</v>
      </c>
      <c r="D30" s="95" t="s">
        <v>19</v>
      </c>
      <c r="E30" s="95" t="s">
        <v>38</v>
      </c>
      <c r="M30" s="83" t="s">
        <v>73</v>
      </c>
      <c r="N30" s="84"/>
      <c r="O30" s="84"/>
      <c r="P30" s="85"/>
    </row>
    <row r="31" spans="1:23" x14ac:dyDescent="0.3">
      <c r="A31" s="2" t="s">
        <v>17</v>
      </c>
      <c r="B31" s="96">
        <v>0.5</v>
      </c>
      <c r="D31" s="96">
        <v>0.1</v>
      </c>
      <c r="E31" s="97">
        <f>D31*B31*(1-22%)</f>
        <v>3.9000000000000007E-2</v>
      </c>
      <c r="M31" s="86" t="s">
        <v>39</v>
      </c>
      <c r="N31" s="84">
        <v>2023</v>
      </c>
      <c r="O31" s="84"/>
      <c r="P31" s="85"/>
    </row>
    <row r="32" spans="1:23" x14ac:dyDescent="0.3">
      <c r="A32" s="2" t="s">
        <v>18</v>
      </c>
      <c r="B32" s="96">
        <v>0.5</v>
      </c>
      <c r="D32" s="96">
        <v>0.15</v>
      </c>
      <c r="E32" s="98">
        <f>D32*B32</f>
        <v>7.4999999999999997E-2</v>
      </c>
      <c r="M32" s="86" t="s">
        <v>40</v>
      </c>
      <c r="N32" s="88">
        <v>0.248</v>
      </c>
      <c r="O32" s="84"/>
      <c r="P32" s="85"/>
    </row>
    <row r="33" spans="1:16" x14ac:dyDescent="0.3">
      <c r="A33" s="93" t="s">
        <v>8</v>
      </c>
      <c r="B33" s="93"/>
      <c r="D33" s="93"/>
      <c r="E33" s="99">
        <f>SUM(E31:E32)</f>
        <v>0.114</v>
      </c>
      <c r="M33" s="86" t="s">
        <v>45</v>
      </c>
      <c r="N33" s="100">
        <f>1577620*250000/20833/1000000</f>
        <v>18.931742907886527</v>
      </c>
      <c r="O33" s="84"/>
      <c r="P33" s="85"/>
    </row>
    <row r="34" spans="1:16" x14ac:dyDescent="0.3">
      <c r="M34" s="86" t="s">
        <v>43</v>
      </c>
      <c r="N34" s="101">
        <f>N33/N32</f>
        <v>76.337673015671484</v>
      </c>
      <c r="O34" s="84"/>
      <c r="P34" s="85"/>
    </row>
    <row r="35" spans="1:16" x14ac:dyDescent="0.3">
      <c r="M35" s="86" t="s">
        <v>44</v>
      </c>
      <c r="N35" s="84">
        <v>4</v>
      </c>
      <c r="O35" s="84"/>
      <c r="P35" s="85"/>
    </row>
    <row r="36" spans="1:16" x14ac:dyDescent="0.3">
      <c r="M36" s="86" t="s">
        <v>72</v>
      </c>
      <c r="N36" s="84">
        <v>18</v>
      </c>
      <c r="O36" s="84"/>
      <c r="P36" s="85"/>
    </row>
    <row r="37" spans="1:16" ht="15.75" thickBot="1" x14ac:dyDescent="0.35">
      <c r="M37" s="102"/>
      <c r="N37" s="103"/>
      <c r="O37" s="104"/>
      <c r="P37" s="105"/>
    </row>
  </sheetData>
  <mergeCells count="1">
    <mergeCell ref="B29:D29"/>
  </mergeCells>
  <pageMargins left="0.27" right="0.27" top="0.28999999999999998" bottom="0.31" header="0.3" footer="0.3"/>
  <pageSetup paperSize="9" scale="5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46"/>
  <sheetViews>
    <sheetView showGridLines="0" zoomScaleNormal="100" workbookViewId="0">
      <selection activeCell="E21" sqref="E21"/>
    </sheetView>
  </sheetViews>
  <sheetFormatPr defaultRowHeight="15" x14ac:dyDescent="0.3"/>
  <cols>
    <col min="1" max="1" width="46.28515625" style="2" customWidth="1"/>
    <col min="2" max="2" width="11.85546875" style="2" customWidth="1"/>
    <col min="3" max="3" width="9.28515625" style="2" hidden="1" customWidth="1"/>
    <col min="4" max="4" width="10.7109375" style="2" hidden="1" customWidth="1"/>
    <col min="5" max="5" width="11.5703125" style="2" customWidth="1"/>
    <col min="6" max="6" width="11" style="2" customWidth="1"/>
    <col min="7" max="8" width="11.28515625" style="2" customWidth="1"/>
    <col min="9" max="9" width="12.7109375" style="2" customWidth="1"/>
    <col min="10" max="10" width="6.42578125" style="2" customWidth="1"/>
    <col min="11" max="11" width="69.7109375" style="2" customWidth="1"/>
    <col min="12" max="12" width="10.28515625" style="2" customWidth="1"/>
    <col min="13" max="16384" width="9.140625" style="2"/>
  </cols>
  <sheetData>
    <row r="1" spans="1:11" ht="22.5" thickBot="1" x14ac:dyDescent="0.45">
      <c r="A1" s="106" t="s">
        <v>77</v>
      </c>
      <c r="B1" s="107"/>
      <c r="C1" s="107"/>
      <c r="D1" s="107"/>
      <c r="E1" s="107"/>
      <c r="F1" s="107"/>
      <c r="G1" s="107"/>
      <c r="H1" s="107"/>
      <c r="I1" s="107"/>
      <c r="J1" s="107"/>
      <c r="K1"/>
    </row>
    <row r="2" spans="1:11" x14ac:dyDescent="0.3">
      <c r="A2" s="93"/>
      <c r="K2"/>
    </row>
    <row r="3" spans="1:11" x14ac:dyDescent="0.3">
      <c r="K3"/>
    </row>
    <row r="4" spans="1:11" x14ac:dyDescent="0.3">
      <c r="C4" s="119">
        <v>2023</v>
      </c>
      <c r="D4" s="119">
        <v>2024</v>
      </c>
      <c r="E4" s="119">
        <v>2025</v>
      </c>
      <c r="F4" s="119">
        <v>2026</v>
      </c>
      <c r="G4" s="119">
        <v>2027</v>
      </c>
      <c r="H4" s="119">
        <v>2028</v>
      </c>
      <c r="I4" s="119">
        <v>2029</v>
      </c>
      <c r="J4" s="119"/>
      <c r="K4"/>
    </row>
    <row r="5" spans="1:11" x14ac:dyDescent="0.3">
      <c r="K5"/>
    </row>
    <row r="6" spans="1:11" x14ac:dyDescent="0.3">
      <c r="A6" s="45"/>
      <c r="B6" s="45"/>
      <c r="C6" s="45"/>
      <c r="D6" s="45"/>
      <c r="E6" s="45"/>
      <c r="F6" s="45"/>
      <c r="G6" s="45"/>
      <c r="H6" s="45"/>
      <c r="I6" s="45"/>
      <c r="J6" s="45"/>
      <c r="K6"/>
    </row>
    <row r="7" spans="1:11" x14ac:dyDescent="0.3">
      <c r="A7" s="109" t="s">
        <v>0</v>
      </c>
      <c r="B7" s="45"/>
      <c r="C7" s="45"/>
      <c r="D7" s="110"/>
      <c r="E7" s="110">
        <v>22117.354653992948</v>
      </c>
      <c r="F7" s="110">
        <v>26663.319679442826</v>
      </c>
      <c r="G7" s="110">
        <v>27796.684330623259</v>
      </c>
      <c r="H7" s="110">
        <v>29018.799520040302</v>
      </c>
      <c r="I7" s="110">
        <v>29312.711431605552</v>
      </c>
      <c r="J7" s="110"/>
      <c r="K7" s="108"/>
    </row>
    <row r="8" spans="1:11" x14ac:dyDescent="0.3">
      <c r="A8" s="45"/>
      <c r="B8" s="45"/>
      <c r="C8" s="45"/>
      <c r="D8" s="45"/>
      <c r="E8" s="45"/>
      <c r="F8" s="45"/>
      <c r="G8" s="45"/>
      <c r="H8" s="45"/>
      <c r="I8" s="45"/>
      <c r="J8" s="45"/>
      <c r="K8" s="108"/>
    </row>
    <row r="9" spans="1:11" x14ac:dyDescent="0.3">
      <c r="A9" s="109" t="s">
        <v>1</v>
      </c>
      <c r="B9" s="45"/>
      <c r="C9" s="45"/>
      <c r="D9" s="45"/>
      <c r="E9" s="45"/>
      <c r="F9" s="45"/>
      <c r="G9" s="45"/>
      <c r="H9" s="45"/>
      <c r="I9" s="45"/>
      <c r="J9" s="45"/>
      <c r="K9" s="108"/>
    </row>
    <row r="10" spans="1:11" x14ac:dyDescent="0.3">
      <c r="A10" s="45"/>
      <c r="B10" s="45"/>
      <c r="C10" s="45"/>
      <c r="D10" s="45"/>
      <c r="E10" s="45"/>
      <c r="F10" s="45"/>
      <c r="G10" s="45"/>
      <c r="H10" s="45"/>
      <c r="I10" s="45"/>
      <c r="J10" s="45"/>
      <c r="K10" s="108"/>
    </row>
    <row r="11" spans="1:11" x14ac:dyDescent="0.3">
      <c r="A11" s="109" t="s">
        <v>2</v>
      </c>
      <c r="B11" s="45"/>
      <c r="C11" s="45"/>
      <c r="D11" s="111"/>
      <c r="E11" s="111">
        <v>-8910.218712891894</v>
      </c>
      <c r="F11" s="111">
        <v>-10709.476782433305</v>
      </c>
      <c r="G11" s="111">
        <v>-11136.160034585149</v>
      </c>
      <c r="H11" s="111">
        <v>-11595.106753466631</v>
      </c>
      <c r="I11" s="111">
        <v>-11683.280326936205</v>
      </c>
      <c r="J11" s="111"/>
      <c r="K11" s="108"/>
    </row>
    <row r="12" spans="1:11" x14ac:dyDescent="0.3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108"/>
    </row>
    <row r="13" spans="1:11" x14ac:dyDescent="0.3">
      <c r="A13" s="45" t="s">
        <v>51</v>
      </c>
      <c r="B13" s="45"/>
      <c r="C13" s="45"/>
      <c r="D13" s="112"/>
      <c r="E13" s="113">
        <v>0.78139534883720929</v>
      </c>
      <c r="F13" s="113">
        <f>E13*1.04</f>
        <v>0.81265116279069771</v>
      </c>
      <c r="G13" s="113">
        <f t="shared" ref="G13:I13" si="0">F13*1.04</f>
        <v>0.84515720930232563</v>
      </c>
      <c r="H13" s="113">
        <f t="shared" si="0"/>
        <v>0.87896349767441873</v>
      </c>
      <c r="I13" s="113">
        <f t="shared" si="0"/>
        <v>0.91412203758139554</v>
      </c>
      <c r="J13" s="112"/>
      <c r="K13" s="108"/>
    </row>
    <row r="14" spans="1:11" x14ac:dyDescent="0.3">
      <c r="A14" s="109" t="s">
        <v>28</v>
      </c>
      <c r="B14" s="45"/>
      <c r="C14" s="45"/>
      <c r="D14" s="111"/>
      <c r="E14" s="111">
        <v>-3526.5783340380549</v>
      </c>
      <c r="F14" s="111">
        <v>-4419.56727205074</v>
      </c>
      <c r="G14" s="111">
        <v>-4756.7608012583505</v>
      </c>
      <c r="H14" s="111">
        <v>-5126.370550556685</v>
      </c>
      <c r="I14" s="111">
        <v>-5331.4253725789531</v>
      </c>
      <c r="J14" s="111"/>
      <c r="K14" s="108"/>
    </row>
    <row r="15" spans="1:11" x14ac:dyDescent="0.3">
      <c r="A15" s="45"/>
      <c r="B15" s="45"/>
      <c r="C15" s="45"/>
      <c r="D15" s="45"/>
      <c r="E15" s="45"/>
      <c r="F15" s="45"/>
      <c r="G15" s="45"/>
      <c r="H15" s="45"/>
      <c r="I15" s="45"/>
      <c r="J15" s="45"/>
      <c r="K15" s="108"/>
    </row>
    <row r="16" spans="1:11" x14ac:dyDescent="0.3">
      <c r="A16" s="109" t="s">
        <v>52</v>
      </c>
      <c r="B16" s="45"/>
      <c r="C16" s="45"/>
      <c r="D16" s="111"/>
      <c r="E16" s="111">
        <v>-1148.9860465116278</v>
      </c>
      <c r="F16" s="111">
        <v>-1490.9860465116278</v>
      </c>
      <c r="G16" s="111">
        <f t="shared" ref="G16:I16" si="1">F16*1.04</f>
        <v>-1550.6254883720931</v>
      </c>
      <c r="H16" s="111">
        <f t="shared" si="1"/>
        <v>-1612.6505079069768</v>
      </c>
      <c r="I16" s="111">
        <f t="shared" si="1"/>
        <v>-1677.1565282232559</v>
      </c>
      <c r="J16" s="111"/>
      <c r="K16" s="108"/>
    </row>
    <row r="17" spans="1:11" x14ac:dyDescent="0.3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108"/>
    </row>
    <row r="18" spans="1:11" x14ac:dyDescent="0.3">
      <c r="A18" s="45" t="s">
        <v>53</v>
      </c>
      <c r="B18" s="45"/>
      <c r="C18" s="45"/>
      <c r="D18" s="114"/>
      <c r="E18" s="114">
        <v>0.02</v>
      </c>
      <c r="F18" s="114">
        <v>0.02</v>
      </c>
      <c r="G18" s="114">
        <v>0.02</v>
      </c>
      <c r="H18" s="114">
        <v>0.02</v>
      </c>
      <c r="I18" s="114">
        <v>0.02</v>
      </c>
      <c r="J18" s="114"/>
      <c r="K18" s="108"/>
    </row>
    <row r="19" spans="1:11" x14ac:dyDescent="0.3">
      <c r="A19" s="109" t="s">
        <v>54</v>
      </c>
      <c r="B19" s="45"/>
      <c r="C19" s="45"/>
      <c r="D19" s="111"/>
      <c r="E19" s="111">
        <f>-E18*E7</f>
        <v>-442.34709307985895</v>
      </c>
      <c r="F19" s="111">
        <f>-F18*F7</f>
        <v>-533.26639358885654</v>
      </c>
      <c r="G19" s="111">
        <f>-G18*G7</f>
        <v>-555.93368661246518</v>
      </c>
      <c r="H19" s="111">
        <f>-H18*H7</f>
        <v>-580.37599040080602</v>
      </c>
      <c r="I19" s="111">
        <f>-I18*I7</f>
        <v>-586.25422863211111</v>
      </c>
      <c r="J19" s="111"/>
      <c r="K19" s="108"/>
    </row>
    <row r="20" spans="1:11" x14ac:dyDescent="0.3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108"/>
    </row>
    <row r="21" spans="1:11" x14ac:dyDescent="0.3">
      <c r="A21" s="45" t="s">
        <v>55</v>
      </c>
      <c r="B21" s="45"/>
      <c r="C21" s="45"/>
      <c r="D21" s="114"/>
      <c r="E21" s="114">
        <v>0.04</v>
      </c>
      <c r="F21" s="114">
        <v>0.04</v>
      </c>
      <c r="G21" s="114">
        <v>0.04</v>
      </c>
      <c r="H21" s="114">
        <v>0.04</v>
      </c>
      <c r="I21" s="114">
        <v>0.04</v>
      </c>
      <c r="J21" s="114"/>
      <c r="K21" s="108"/>
    </row>
    <row r="22" spans="1:11" x14ac:dyDescent="0.3">
      <c r="A22" s="109" t="s">
        <v>56</v>
      </c>
      <c r="B22" s="45"/>
      <c r="C22" s="45"/>
      <c r="D22" s="111"/>
      <c r="E22" s="111">
        <f>-E21*E7</f>
        <v>-884.6941861597179</v>
      </c>
      <c r="F22" s="111">
        <f>-F21*F7</f>
        <v>-1066.5327871777131</v>
      </c>
      <c r="G22" s="111">
        <f>-G21*G7</f>
        <v>-1111.8673732249304</v>
      </c>
      <c r="H22" s="111">
        <f>-H21*H7</f>
        <v>-1160.751980801612</v>
      </c>
      <c r="I22" s="111">
        <f>-I21*I7</f>
        <v>-1172.5084572642222</v>
      </c>
      <c r="J22" s="111"/>
      <c r="K22" s="108"/>
    </row>
    <row r="23" spans="1:11" x14ac:dyDescent="0.3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108"/>
    </row>
    <row r="24" spans="1:11" x14ac:dyDescent="0.3">
      <c r="A24" s="109" t="s">
        <v>3</v>
      </c>
      <c r="B24" s="45"/>
      <c r="C24" s="45"/>
      <c r="D24" s="111"/>
      <c r="E24" s="111">
        <v>-1210</v>
      </c>
      <c r="F24" s="111">
        <v>-1725</v>
      </c>
      <c r="G24" s="111">
        <v>-1725</v>
      </c>
      <c r="H24" s="111">
        <v>-1725</v>
      </c>
      <c r="I24" s="111">
        <v>-1725</v>
      </c>
      <c r="J24" s="111"/>
      <c r="K24" s="108"/>
    </row>
    <row r="25" spans="1:11" x14ac:dyDescent="0.3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108"/>
    </row>
    <row r="26" spans="1:11" x14ac:dyDescent="0.3">
      <c r="A26" s="115" t="s">
        <v>4</v>
      </c>
      <c r="B26" s="45"/>
      <c r="C26" s="45"/>
      <c r="D26" s="110"/>
      <c r="E26" s="110">
        <f>SUM(E7,E11,E14,E16,E19,E22,E24)</f>
        <v>5994.5302813117951</v>
      </c>
      <c r="F26" s="110">
        <f>SUM(F7,F11,F14,F16,F19,F22,F24)</f>
        <v>6718.4903976805836</v>
      </c>
      <c r="G26" s="110">
        <f>SUM(G7,G11,G14,G16,G19,G22,G24)</f>
        <v>6960.3369465702672</v>
      </c>
      <c r="H26" s="110">
        <f>SUM(H7,H11,H14,H16,H19,H22,H24)</f>
        <v>7218.5437369075935</v>
      </c>
      <c r="I26" s="110">
        <f>SUM(I7,I11,I14,I16,I19,I22,I24)</f>
        <v>7137.0865179708053</v>
      </c>
      <c r="J26" s="110"/>
      <c r="K26" s="108"/>
    </row>
    <row r="27" spans="1:11" x14ac:dyDescent="0.3">
      <c r="A27" s="45"/>
      <c r="B27" s="45"/>
      <c r="C27" s="45"/>
      <c r="D27" s="45"/>
      <c r="E27" s="45"/>
      <c r="F27" s="45"/>
      <c r="G27" s="45"/>
      <c r="H27" s="45"/>
      <c r="I27" s="45"/>
      <c r="J27" s="112"/>
      <c r="K27" s="108"/>
    </row>
    <row r="28" spans="1:11" x14ac:dyDescent="0.3">
      <c r="A28" s="109" t="s">
        <v>57</v>
      </c>
      <c r="B28" s="109"/>
      <c r="C28" s="109"/>
      <c r="D28" s="111"/>
      <c r="E28" s="111">
        <f>-E26*20%</f>
        <v>-1198.906056262359</v>
      </c>
      <c r="F28" s="111">
        <f t="shared" ref="F28:I28" si="2">-F26*20%</f>
        <v>-1343.6980795361169</v>
      </c>
      <c r="G28" s="111">
        <f t="shared" si="2"/>
        <v>-1392.0673893140536</v>
      </c>
      <c r="H28" s="111">
        <f t="shared" si="2"/>
        <v>-1443.7087473815188</v>
      </c>
      <c r="I28" s="111">
        <f t="shared" si="2"/>
        <v>-1427.4173035941612</v>
      </c>
      <c r="J28" s="111"/>
      <c r="K28" s="108"/>
    </row>
    <row r="29" spans="1:11" x14ac:dyDescent="0.3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108"/>
    </row>
    <row r="30" spans="1:11" x14ac:dyDescent="0.3">
      <c r="A30" s="45" t="s">
        <v>6</v>
      </c>
      <c r="B30" s="45"/>
      <c r="C30" s="45"/>
      <c r="D30" s="116"/>
      <c r="E30" s="116">
        <f>E26+E28-E24</f>
        <v>6005.6242250494361</v>
      </c>
      <c r="F30" s="116">
        <f t="shared" ref="F30:I30" si="3">F26+F28-F24</f>
        <v>7099.7923181444667</v>
      </c>
      <c r="G30" s="116">
        <f t="shared" si="3"/>
        <v>7293.2695572562134</v>
      </c>
      <c r="H30" s="116">
        <f t="shared" si="3"/>
        <v>7499.8349895260744</v>
      </c>
      <c r="I30" s="116">
        <f t="shared" si="3"/>
        <v>7434.669214376644</v>
      </c>
      <c r="J30" s="116"/>
      <c r="K30" s="108"/>
    </row>
    <row r="31" spans="1:11" x14ac:dyDescent="0.3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108"/>
    </row>
    <row r="32" spans="1:11" x14ac:dyDescent="0.3">
      <c r="A32" s="28" t="s">
        <v>29</v>
      </c>
      <c r="B32" s="28"/>
      <c r="C32" s="28"/>
      <c r="D32" s="117"/>
      <c r="E32" s="118">
        <f>E26-E24</f>
        <v>7204.5302813117951</v>
      </c>
      <c r="F32" s="118">
        <f>F26-F24</f>
        <v>8443.4903976805836</v>
      </c>
      <c r="G32" s="118">
        <f>G26-G24</f>
        <v>8685.3369465702672</v>
      </c>
      <c r="H32" s="118">
        <f>H26-H24</f>
        <v>8943.5437369075935</v>
      </c>
      <c r="I32" s="118">
        <f>I26-I24</f>
        <v>8862.0865179708053</v>
      </c>
      <c r="J32" s="45"/>
      <c r="K32" s="108"/>
    </row>
    <row r="33" spans="1:11" x14ac:dyDescent="0.3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108"/>
    </row>
    <row r="34" spans="1:11" x14ac:dyDescent="0.3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</row>
    <row r="35" spans="1:11" x14ac:dyDescent="0.3">
      <c r="G35" s="45"/>
      <c r="H35" s="45"/>
    </row>
    <row r="36" spans="1:11" x14ac:dyDescent="0.3">
      <c r="G36" s="45"/>
      <c r="H36" s="45"/>
    </row>
    <row r="37" spans="1:11" x14ac:dyDescent="0.3">
      <c r="G37" s="45"/>
      <c r="H37" s="45"/>
    </row>
    <row r="38" spans="1:11" x14ac:dyDescent="0.3">
      <c r="G38" s="45"/>
      <c r="H38" s="45"/>
    </row>
    <row r="39" spans="1:11" x14ac:dyDescent="0.3">
      <c r="G39" s="45"/>
      <c r="H39" s="45"/>
    </row>
    <row r="40" spans="1:11" x14ac:dyDescent="0.3">
      <c r="G40" s="45"/>
      <c r="H40" s="45"/>
    </row>
    <row r="41" spans="1:11" x14ac:dyDescent="0.3">
      <c r="G41" s="45"/>
      <c r="H41" s="45"/>
    </row>
    <row r="42" spans="1:11" x14ac:dyDescent="0.3">
      <c r="G42" s="45"/>
      <c r="H42" s="45"/>
    </row>
    <row r="43" spans="1:11" x14ac:dyDescent="0.3">
      <c r="G43" s="45"/>
      <c r="H43" s="45"/>
    </row>
    <row r="44" spans="1:11" x14ac:dyDescent="0.3">
      <c r="G44" s="45"/>
      <c r="H44" s="45"/>
    </row>
    <row r="45" spans="1:11" x14ac:dyDescent="0.3">
      <c r="G45" s="45"/>
      <c r="H45" s="45"/>
    </row>
    <row r="46" spans="1:11" x14ac:dyDescent="0.3">
      <c r="G46" s="45"/>
      <c r="H46" s="45"/>
    </row>
  </sheetData>
  <phoneticPr fontId="2" type="noConversion"/>
  <pageMargins left="0.28000000000000003" right="0.23" top="0.36" bottom="0.59" header="0.3" footer="0.3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Valuation</vt:lpstr>
      <vt:lpstr>Forecast</vt:lpstr>
      <vt:lpstr>Forecast!Print_Area</vt:lpstr>
      <vt:lpstr>Valuation!Print_Area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NVH</dc:creator>
  <cp:lastModifiedBy>Hieu Nguyen</cp:lastModifiedBy>
  <cp:lastPrinted>2015-08-18T07:54:06Z</cp:lastPrinted>
  <dcterms:created xsi:type="dcterms:W3CDTF">2015-05-28T07:47:45Z</dcterms:created>
  <dcterms:modified xsi:type="dcterms:W3CDTF">2024-08-01T10:31:25Z</dcterms:modified>
</cp:coreProperties>
</file>